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<sst xmlns="http://schemas.openxmlformats.org/spreadsheetml/2006/main" count="89" uniqueCount="59">
  <si>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Path Loss Exponent</t>
  </si>
  <si>
    <t>MHz</t>
  </si>
  <si>
    <t>dBm</t>
  </si>
  <si>
    <t>Frequency</t>
  </si>
  <si>
    <t>Signal Level</t>
  </si>
  <si>
    <t>20'</t>
  </si>
  <si>
    <t>30'</t>
  </si>
  <si>
    <t>40'</t>
  </si>
  <si>
    <t>50'</t>
  </si>
  <si>
    <t>60'</t>
  </si>
  <si>
    <t>70'</t>
  </si>
  <si>
    <t>80'</t>
  </si>
  <si>
    <t>90'</t>
  </si>
  <si>
    <t>100'</t>
  </si>
  <si>
    <t>110'</t>
  </si>
  <si>
    <t>120'</t>
  </si>
  <si>
    <t>130'</t>
  </si>
  <si>
    <t>140'</t>
  </si>
  <si>
    <t>150'</t>
  </si>
  <si>
    <t>160'</t>
  </si>
  <si>
    <t>170'</t>
  </si>
  <si>
    <t>180'</t>
  </si>
  <si>
    <t>190'</t>
  </si>
  <si>
    <t>200'</t>
  </si>
  <si>
    <t>Path Loss</t>
  </si>
  <si>
    <t>Distance</t>
  </si>
  <si>
    <t>Sig Level</t>
  </si>
  <si>
    <t>Antenna Gain</t>
  </si>
  <si>
    <t>210'</t>
  </si>
  <si>
    <t>220'</t>
  </si>
  <si>
    <t>230'</t>
  </si>
  <si>
    <t>240'</t>
  </si>
  <si>
    <t>250'</t>
  </si>
  <si>
    <t>260'</t>
  </si>
  <si>
    <t>270'</t>
  </si>
  <si>
    <t>280'</t>
  </si>
  <si>
    <t>290'</t>
  </si>
  <si>
    <t>300'</t>
  </si>
  <si>
    <t>350'</t>
  </si>
  <si>
    <t>400'</t>
  </si>
  <si>
    <t>375'</t>
  </si>
  <si>
    <t>425'</t>
  </si>
  <si>
    <t>325'</t>
  </si>
  <si>
    <t>450'</t>
  </si>
  <si>
    <t>475'</t>
  </si>
  <si>
    <t>500'</t>
  </si>
  <si>
    <t>600'</t>
  </si>
  <si>
    <t>700'</t>
  </si>
  <si>
    <t>800'</t>
  </si>
  <si>
    <t>900'</t>
  </si>
  <si>
    <t>1000'</t>
  </si>
  <si>
    <t>Value</t>
  </si>
  <si>
    <t>DAS Coverage Prediction Calculator</t>
  </si>
  <si>
    <t xml:space="preserve">Enter the following variables: </t>
  </si>
  <si>
    <r>
      <rPr>
        <b/>
        <sz val="14"/>
        <color indexed="8"/>
        <rFont val="Calibri"/>
        <family val="2"/>
      </rPr>
      <t>dB (dBd)</t>
    </r>
    <r>
      <rPr>
        <b/>
        <sz val="11"/>
        <color indexed="8"/>
        <rFont val="Calibri"/>
        <family val="2"/>
      </rPr>
      <t xml:space="preserve"> </t>
    </r>
  </si>
  <si>
    <r>
      <t xml:space="preserve">Calculator Courtesy of:                                                                                      </t>
    </r>
    <r>
      <rPr>
        <b/>
        <sz val="11"/>
        <color indexed="9"/>
        <rFont val="Calibri"/>
        <family val="2"/>
      </rPr>
      <t>©2017 George R. Potter</t>
    </r>
  </si>
  <si>
    <t>DASPlanCheck.com</t>
  </si>
  <si>
    <t>RF Level</t>
  </si>
  <si>
    <r>
      <t xml:space="preserve">  Click Here For Instructions</t>
    </r>
    <r>
      <rPr>
        <b/>
        <sz val="28"/>
        <color indexed="8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</si>
</sst>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8"/>
      <color indexed="9"/>
      <name val="Calibri"/>
      <family val="2"/>
    </font>
    <font>
      <b/>
      <sz val="14"/>
      <color indexed="9"/>
      <name val="Calibri"/>
      <family val="2"/>
    </font>
    <font>
      <b/>
      <sz val="50"/>
      <color indexed="9"/>
      <name val="Calibri"/>
      <family val="2"/>
    </font>
    <font>
      <b/>
      <sz val="2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2" fontId="1" fillId="20" borderId="11" xfId="0" applyNumberFormat="1" applyFont="1" applyFill="1" applyBorder="1" applyAlignment="1">
      <alignment horizontal="center" vertical="center"/>
    </xf>
    <xf numFmtId="2" fontId="1" fillId="20" borderId="12" xfId="0" applyNumberFormat="1" applyFont="1" applyFill="1" applyBorder="1" applyAlignment="1">
      <alignment horizontal="center" vertical="center"/>
    </xf>
    <xf numFmtId="2" fontId="1" fillId="20" borderId="15" xfId="0" applyNumberFormat="1" applyFont="1" applyFill="1" applyBorder="1" applyAlignment="1">
      <alignment horizontal="center" vertical="center"/>
    </xf>
    <xf numFmtId="2" fontId="1" fillId="20" borderId="16" xfId="0" applyNumberFormat="1" applyFont="1" applyFill="1" applyBorder="1" applyAlignment="1">
      <alignment horizontal="center" vertical="center"/>
    </xf>
    <xf numFmtId="2" fontId="1" fillId="20" borderId="17" xfId="0" applyNumberFormat="1" applyFont="1" applyFill="1" applyBorder="1" applyAlignment="1">
      <alignment horizontal="center" vertical="center"/>
    </xf>
    <xf numFmtId="2" fontId="1" fillId="20" borderId="18" xfId="0" applyNumberFormat="1" applyFont="1" applyFill="1" applyBorder="1" applyAlignment="1">
      <alignment horizontal="center" vertical="center"/>
    </xf>
    <xf numFmtId="2" fontId="1" fillId="25" borderId="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2" fontId="1" fillId="25" borderId="19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3" fillId="25" borderId="0" xfId="0" applyFont="1" applyFill="1" applyBorder="1" applyAlignment="1">
      <alignment vertical="center"/>
    </xf>
    <xf numFmtId="0" fontId="0" fillId="25" borderId="19" xfId="0" applyFill="1" applyBorder="1" applyAlignment="1">
      <alignment/>
    </xf>
    <xf numFmtId="0" fontId="2" fillId="26" borderId="20" xfId="0" applyFont="1" applyFill="1" applyBorder="1" applyAlignment="1">
      <alignment vertical="center"/>
    </xf>
    <xf numFmtId="0" fontId="1" fillId="26" borderId="21" xfId="0" applyFont="1" applyFill="1" applyBorder="1" applyAlignment="1">
      <alignment vertical="center"/>
    </xf>
    <xf numFmtId="0" fontId="1" fillId="26" borderId="22" xfId="0" applyFont="1" applyFill="1" applyBorder="1" applyAlignment="1">
      <alignment vertical="center"/>
    </xf>
    <xf numFmtId="0" fontId="1" fillId="26" borderId="23" xfId="0" applyFont="1" applyFill="1" applyBorder="1" applyAlignment="1">
      <alignment vertical="center"/>
    </xf>
    <xf numFmtId="0" fontId="1" fillId="26" borderId="24" xfId="0" applyFont="1" applyFill="1" applyBorder="1" applyAlignment="1">
      <alignment vertical="center"/>
    </xf>
    <xf numFmtId="0" fontId="1" fillId="26" borderId="25" xfId="0" applyFont="1" applyFill="1" applyBorder="1" applyAlignment="1">
      <alignment vertical="center"/>
    </xf>
    <xf numFmtId="0" fontId="7" fillId="25" borderId="20" xfId="0" applyFont="1" applyFill="1" applyBorder="1" applyAlignment="1">
      <alignment vertical="center"/>
    </xf>
    <xf numFmtId="0" fontId="4" fillId="25" borderId="24" xfId="0" applyFont="1" applyFill="1" applyBorder="1" applyAlignment="1">
      <alignment vertical="center"/>
    </xf>
    <xf numFmtId="0" fontId="7" fillId="25" borderId="24" xfId="0" applyFont="1" applyFill="1" applyBorder="1" applyAlignment="1">
      <alignment vertical="center"/>
    </xf>
    <xf numFmtId="0" fontId="4" fillId="25" borderId="25" xfId="0" applyFont="1" applyFill="1" applyBorder="1" applyAlignment="1">
      <alignment vertical="center"/>
    </xf>
    <xf numFmtId="0" fontId="2" fillId="26" borderId="24" xfId="0" applyFont="1" applyFill="1" applyBorder="1" applyAlignment="1">
      <alignment vertical="center"/>
    </xf>
    <xf numFmtId="0" fontId="2" fillId="26" borderId="26" xfId="0" applyFont="1" applyFill="1" applyBorder="1" applyAlignment="1">
      <alignment vertical="center"/>
    </xf>
    <xf numFmtId="0" fontId="1" fillId="26" borderId="27" xfId="0" applyFont="1" applyFill="1" applyBorder="1" applyAlignment="1">
      <alignment vertical="center"/>
    </xf>
    <xf numFmtId="0" fontId="1" fillId="26" borderId="28" xfId="0" applyFont="1" applyFill="1" applyBorder="1" applyAlignment="1">
      <alignment vertical="center"/>
    </xf>
    <xf numFmtId="0" fontId="4" fillId="25" borderId="29" xfId="0" applyFont="1" applyFill="1" applyBorder="1" applyAlignment="1">
      <alignment horizontal="left" vertical="center"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25" borderId="19" xfId="0" applyFont="1" applyFill="1" applyBorder="1" applyAlignment="1">
      <alignment/>
    </xf>
    <xf numFmtId="0" fontId="0" fillId="0" borderId="29" xfId="0" applyBorder="1" applyAlignment="1">
      <alignment/>
    </xf>
    <xf numFmtId="0" fontId="6" fillId="25" borderId="29" xfId="0" applyFont="1" applyFill="1" applyBorder="1" applyAlignment="1">
      <alignment vertical="center"/>
    </xf>
    <xf numFmtId="0" fontId="8" fillId="25" borderId="29" xfId="0" applyFont="1" applyFill="1" applyBorder="1" applyAlignment="1">
      <alignment/>
    </xf>
    <xf numFmtId="0" fontId="1" fillId="26" borderId="30" xfId="0" applyFont="1" applyFill="1" applyBorder="1" applyAlignment="1">
      <alignment vertical="center"/>
    </xf>
    <xf numFmtId="0" fontId="0" fillId="25" borderId="30" xfId="0" applyFill="1" applyBorder="1" applyAlignment="1">
      <alignment/>
    </xf>
    <xf numFmtId="0" fontId="0" fillId="25" borderId="29" xfId="0" applyFill="1" applyBorder="1" applyAlignment="1">
      <alignment/>
    </xf>
    <xf numFmtId="0" fontId="0" fillId="0" borderId="19" xfId="0" applyBorder="1" applyAlignment="1">
      <alignment/>
    </xf>
    <xf numFmtId="0" fontId="9" fillId="0" borderId="29" xfId="0" applyFont="1" applyBorder="1" applyAlignment="1">
      <alignment vertical="center"/>
    </xf>
    <xf numFmtId="0" fontId="4" fillId="25" borderId="31" xfId="0" applyFont="1" applyFill="1" applyBorder="1" applyAlignment="1">
      <alignment horizontal="center" vertical="center"/>
    </xf>
    <xf numFmtId="0" fontId="7" fillId="27" borderId="31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zoomScalePageLayoutView="0" workbookViewId="0" topLeftCell="A1">
      <selection activeCell="K24" sqref="K24"/>
    </sheetView>
  </sheetViews>
  <sheetFormatPr defaultColWidth="9.140625" defaultRowHeight="20.25" customHeight="1"/>
  <cols>
    <col min="1" max="1" width="13.140625" style="40" customWidth="1"/>
    <col min="2" max="4" width="13.140625" style="0" customWidth="1"/>
    <col min="5" max="5" width="13.28125" style="0" customWidth="1"/>
    <col min="6" max="6" width="13.140625" style="0" customWidth="1"/>
    <col min="7" max="7" width="8.7109375" style="0" customWidth="1"/>
    <col min="8" max="8" width="8.7109375" style="2" customWidth="1"/>
    <col min="9" max="17" width="8.7109375" style="0" customWidth="1"/>
    <col min="18" max="18" width="8.7109375" style="0" hidden="1" customWidth="1"/>
    <col min="19" max="28" width="0" style="0" hidden="1" customWidth="1"/>
  </cols>
  <sheetData>
    <row r="1" ht="58.5" customHeight="1"/>
    <row r="2" spans="1:19" ht="38.25" customHeight="1">
      <c r="A2" s="41" t="s">
        <v>52</v>
      </c>
      <c r="B2" s="19"/>
      <c r="C2" s="20"/>
      <c r="D2" s="19"/>
      <c r="E2" s="19"/>
      <c r="F2" s="44"/>
      <c r="S2" s="2"/>
    </row>
    <row r="3" spans="1:28" s="1" customFormat="1" ht="22.5" customHeight="1" thickBot="1">
      <c r="A3" s="22" t="s">
        <v>53</v>
      </c>
      <c r="B3" s="23"/>
      <c r="C3" s="24"/>
      <c r="D3" s="25"/>
      <c r="E3" s="26"/>
      <c r="F3" s="43"/>
      <c r="R3" s="1" t="s">
        <v>25</v>
      </c>
      <c r="S3" s="3" t="s">
        <v>24</v>
      </c>
      <c r="T3" s="1" t="s">
        <v>26</v>
      </c>
      <c r="V3" s="1" t="s">
        <v>25</v>
      </c>
      <c r="W3" s="1" t="s">
        <v>24</v>
      </c>
      <c r="X3" s="1" t="s">
        <v>26</v>
      </c>
      <c r="Z3" s="1" t="s">
        <v>25</v>
      </c>
      <c r="AA3" s="1" t="s">
        <v>24</v>
      </c>
      <c r="AB3" s="1" t="s">
        <v>26</v>
      </c>
    </row>
    <row r="4" spans="1:28" s="1" customFormat="1" ht="21" customHeight="1" thickBot="1" thickTop="1">
      <c r="A4" s="28" t="s">
        <v>3</v>
      </c>
      <c r="B4" s="29"/>
      <c r="C4" s="49">
        <v>861</v>
      </c>
      <c r="D4" s="30" t="s">
        <v>1</v>
      </c>
      <c r="E4" s="29"/>
      <c r="F4" s="31"/>
      <c r="R4" s="1" t="s">
        <v>5</v>
      </c>
      <c r="S4" s="3">
        <f>(32.5+20*LOG10($C$4/1000)+($C6*10)*LOG10(20/3.28))</f>
        <v>56.325059891546765</v>
      </c>
      <c r="T4" s="3">
        <f aca="true" t="shared" si="0" ref="T4:T22">$C$5-S4+$C$7</f>
        <v>-66.32505989154677</v>
      </c>
      <c r="V4" s="1">
        <v>210</v>
      </c>
      <c r="W4" s="3">
        <f>(32.5+20*LOG10($C$4/1000)+($C$6*10)*LOG10(210/3.28))</f>
        <v>89.00311746178478</v>
      </c>
      <c r="X4" s="3">
        <f aca="true" t="shared" si="1" ref="X4:X22">$C$5-W4+$C$7</f>
        <v>-99.00311746178478</v>
      </c>
      <c r="Z4" s="1">
        <v>900</v>
      </c>
      <c r="AA4" s="3">
        <f>(32.5+20*LOG10($C$4/1000)+($C$6*10)*LOG10(900/3.28))</f>
        <v>109.22786033235776</v>
      </c>
      <c r="AB4" s="3">
        <f>$C$5-AA4+$C$7</f>
        <v>-119.22786033235776</v>
      </c>
    </row>
    <row r="5" spans="1:28" s="1" customFormat="1" ht="20.25" customHeight="1" thickBot="1" thickTop="1">
      <c r="A5" s="22" t="s">
        <v>4</v>
      </c>
      <c r="B5" s="26"/>
      <c r="C5" s="50">
        <v>-10</v>
      </c>
      <c r="D5" s="32" t="s">
        <v>2</v>
      </c>
      <c r="E5" s="26"/>
      <c r="F5" s="27"/>
      <c r="R5" s="1" t="s">
        <v>6</v>
      </c>
      <c r="S5" s="3">
        <f>(32.5+20*LOG10($C$4/1000)+($C$6*10)*LOG10(30/3.28))</f>
        <v>61.95998018132856</v>
      </c>
      <c r="T5" s="3">
        <f t="shared" si="0"/>
        <v>-71.95998018132856</v>
      </c>
      <c r="V5" s="1">
        <v>220</v>
      </c>
      <c r="W5" s="3">
        <f>(32.5+20*LOG10($C$4/1000)+($C$6*10)*LOG10(220/3.28))</f>
        <v>89.64962581660997</v>
      </c>
      <c r="X5" s="3">
        <f t="shared" si="1"/>
        <v>-99.64962581660997</v>
      </c>
      <c r="Z5" s="1">
        <v>1000</v>
      </c>
      <c r="AA5" s="3">
        <f>(32.5+20*LOG10($C$4/1000)+($C$6*10)*LOG10(1000/3.28))</f>
        <v>110.69210003029936</v>
      </c>
      <c r="AB5" s="3">
        <f>$C$5-AA5+$C$7</f>
        <v>-120.69210003029936</v>
      </c>
    </row>
    <row r="6" spans="1:28" s="1" customFormat="1" ht="20.25" customHeight="1" thickBot="1" thickTop="1">
      <c r="A6" s="28" t="s">
        <v>0</v>
      </c>
      <c r="B6" s="29"/>
      <c r="C6" s="49">
        <v>3.2</v>
      </c>
      <c r="D6" s="30" t="s">
        <v>51</v>
      </c>
      <c r="E6" s="29"/>
      <c r="F6" s="31"/>
      <c r="R6" s="1" t="s">
        <v>7</v>
      </c>
      <c r="S6" s="3">
        <f>(32.5+20*LOG10($C$4/1000)+($C$6*10)*LOG10(40/3.28))</f>
        <v>65.95801975279416</v>
      </c>
      <c r="T6" s="3">
        <f t="shared" si="0"/>
        <v>-75.95801975279416</v>
      </c>
      <c r="V6" s="1">
        <v>230</v>
      </c>
      <c r="W6" s="3">
        <f>(32.5+20*LOG10($C$4/1000)+($C$6*10)*LOG10(230/3.28))</f>
        <v>90.26739078286234</v>
      </c>
      <c r="X6" s="3">
        <f t="shared" si="1"/>
        <v>-100.26739078286234</v>
      </c>
      <c r="Z6" s="1">
        <v>700</v>
      </c>
      <c r="AA6" s="3">
        <f>(32.5+20*LOG10($C$4/1000)+($C$6*10)*LOG10(700/3.28))</f>
        <v>105.73523731075558</v>
      </c>
      <c r="AB6" s="3">
        <f>$C$5-AA6+$C$7</f>
        <v>-115.73523731075558</v>
      </c>
    </row>
    <row r="7" spans="1:28" s="1" customFormat="1" ht="20.25" customHeight="1" thickBot="1" thickTop="1">
      <c r="A7" s="33" t="s">
        <v>27</v>
      </c>
      <c r="B7" s="34"/>
      <c r="C7" s="50">
        <v>0</v>
      </c>
      <c r="D7" s="34" t="s">
        <v>54</v>
      </c>
      <c r="E7" s="34"/>
      <c r="F7" s="35"/>
      <c r="R7" s="1" t="s">
        <v>8</v>
      </c>
      <c r="S7" s="3">
        <f>(32.5+20*LOG10($C$4/1000)+($C$6*10)*LOG10(50/3.28))</f>
        <v>69.05914016905197</v>
      </c>
      <c r="T7" s="3">
        <f t="shared" si="0"/>
        <v>-79.05914016905197</v>
      </c>
      <c r="V7" s="1">
        <v>240</v>
      </c>
      <c r="W7" s="3">
        <f>(32.5+20*LOG10($C$4/1000)+($C$6*10)*LOG10(240/3.28))</f>
        <v>90.85885976507076</v>
      </c>
      <c r="X7" s="3">
        <f t="shared" si="1"/>
        <v>-100.85885976507076</v>
      </c>
      <c r="Z7" s="1">
        <v>800</v>
      </c>
      <c r="AA7" s="3">
        <f>(32.5+20*LOG10($C$4/1000)+($C$6*10)*LOG10(800/3.28))</f>
        <v>107.59097961404156</v>
      </c>
      <c r="AB7" s="3">
        <f>$C$5-AA7+$C$7</f>
        <v>-117.59097961404156</v>
      </c>
    </row>
    <row r="8" spans="1:24" s="1" customFormat="1" ht="20.25" customHeight="1" thickBot="1" thickTop="1">
      <c r="A8" s="48" t="s">
        <v>25</v>
      </c>
      <c r="B8" s="48" t="s">
        <v>57</v>
      </c>
      <c r="C8" s="48" t="s">
        <v>25</v>
      </c>
      <c r="D8" s="48" t="s">
        <v>57</v>
      </c>
      <c r="E8" s="48" t="s">
        <v>25</v>
      </c>
      <c r="F8" s="48" t="s">
        <v>57</v>
      </c>
      <c r="R8" s="1" t="s">
        <v>9</v>
      </c>
      <c r="S8" s="3">
        <f>(32.5+20*LOG10($C$4/1000)+($C$6*10)*LOG10(60/3.28))</f>
        <v>71.59294004257596</v>
      </c>
      <c r="T8" s="3">
        <f t="shared" si="0"/>
        <v>-81.59294004257596</v>
      </c>
      <c r="V8" s="1">
        <v>250</v>
      </c>
      <c r="W8" s="3">
        <f>(32.5+20*LOG10($C$4/1000)+($C$6*10)*LOG10(250/3.28))</f>
        <v>91.42618030780457</v>
      </c>
      <c r="X8" s="3">
        <f t="shared" si="1"/>
        <v>-101.42618030780457</v>
      </c>
    </row>
    <row r="9" spans="1:24" s="1" customFormat="1" ht="20.25" customHeight="1" thickTop="1">
      <c r="A9" s="4" t="s">
        <v>5</v>
      </c>
      <c r="B9" s="10">
        <f aca="true" t="shared" si="2" ref="B9:B22">T4</f>
        <v>-66.32505989154677</v>
      </c>
      <c r="C9" s="5" t="s">
        <v>19</v>
      </c>
      <c r="D9" s="10">
        <f>T18</f>
        <v>-95.22393947528896</v>
      </c>
      <c r="E9" s="5" t="s">
        <v>37</v>
      </c>
      <c r="F9" s="13">
        <f aca="true" t="shared" si="3" ref="F9:F18">X13</f>
        <v>-103.95998018132856</v>
      </c>
      <c r="R9" s="1" t="s">
        <v>10</v>
      </c>
      <c r="S9" s="3">
        <f>(32.5+20*LOG10($C$4/1000)+($C$6*10)*LOG10(70/3.28))</f>
        <v>73.73523731075558</v>
      </c>
      <c r="T9" s="3">
        <f t="shared" si="0"/>
        <v>-83.73523731075558</v>
      </c>
      <c r="V9" s="1">
        <v>260</v>
      </c>
      <c r="W9" s="3">
        <f>(32.5+20*LOG10($C$4/1000)+($C$6*10)*LOG10(260/3.28))</f>
        <v>91.97124716536554</v>
      </c>
      <c r="X9" s="3">
        <f t="shared" si="1"/>
        <v>-101.97124716536554</v>
      </c>
    </row>
    <row r="10" spans="1:24" s="1" customFormat="1" ht="20.25" customHeight="1">
      <c r="A10" s="7" t="s">
        <v>6</v>
      </c>
      <c r="B10" s="11">
        <f t="shared" si="2"/>
        <v>-71.95998018132856</v>
      </c>
      <c r="C10" s="6" t="s">
        <v>20</v>
      </c>
      <c r="D10" s="11">
        <f>T19</f>
        <v>-96.06646551440413</v>
      </c>
      <c r="E10" s="6" t="s">
        <v>42</v>
      </c>
      <c r="F10" s="14">
        <f t="shared" si="3"/>
        <v>-105.07236758162334</v>
      </c>
      <c r="R10" s="1" t="s">
        <v>11</v>
      </c>
      <c r="S10" s="3">
        <f>(32.5+20*LOG10($C$4/1000)+($C$6*10)*LOG10(80/3.28))</f>
        <v>75.59097961404156</v>
      </c>
      <c r="T10" s="3">
        <f t="shared" si="0"/>
        <v>-85.59097961404156</v>
      </c>
      <c r="V10" s="1">
        <v>270</v>
      </c>
      <c r="W10" s="3">
        <f>(32.5+20*LOG10($C$4/1000)+($C$6*10)*LOG10(270/3.28))</f>
        <v>92.49574048338697</v>
      </c>
      <c r="X10" s="3">
        <f t="shared" si="1"/>
        <v>-102.49574048338697</v>
      </c>
    </row>
    <row r="11" spans="1:24" s="1" customFormat="1" ht="20.25" customHeight="1">
      <c r="A11" s="7" t="s">
        <v>7</v>
      </c>
      <c r="B11" s="11">
        <f t="shared" si="2"/>
        <v>-75.95801975279416</v>
      </c>
      <c r="C11" s="6" t="s">
        <v>21</v>
      </c>
      <c r="D11" s="11">
        <f>T20</f>
        <v>-96.86082019360516</v>
      </c>
      <c r="E11" s="6" t="s">
        <v>38</v>
      </c>
      <c r="F11" s="14">
        <f t="shared" si="3"/>
        <v>-106.10227744950818</v>
      </c>
      <c r="R11" s="1" t="s">
        <v>12</v>
      </c>
      <c r="S11" s="3">
        <f>(32.5+20*LOG10($C$4/1000)+($C$6*10)*LOG10(90/3.28))</f>
        <v>77.22786033235776</v>
      </c>
      <c r="T11" s="3">
        <f t="shared" si="0"/>
        <v>-87.22786033235776</v>
      </c>
      <c r="V11" s="1">
        <v>280</v>
      </c>
      <c r="W11" s="3">
        <f>(32.5+20*LOG10($C$4/1000)+($C$6*10)*LOG10(280/3.28))</f>
        <v>93.00115703325038</v>
      </c>
      <c r="X11" s="3">
        <f t="shared" si="1"/>
        <v>-103.00115703325038</v>
      </c>
    </row>
    <row r="12" spans="1:24" s="1" customFormat="1" ht="20.25" customHeight="1">
      <c r="A12" s="7" t="s">
        <v>8</v>
      </c>
      <c r="B12" s="11">
        <f t="shared" si="2"/>
        <v>-79.05914016905197</v>
      </c>
      <c r="C12" s="6" t="s">
        <v>22</v>
      </c>
      <c r="D12" s="11">
        <f>T21</f>
        <v>-97.6122152607899</v>
      </c>
      <c r="E12" s="6" t="s">
        <v>40</v>
      </c>
      <c r="F12" s="14">
        <f t="shared" si="3"/>
        <v>-107.06110059758636</v>
      </c>
      <c r="R12" s="1" t="s">
        <v>13</v>
      </c>
      <c r="S12" s="3">
        <f>(32.5+20*LOG10($C$4/1000)+($C$6*10)*LOG10(100/3.28))</f>
        <v>78.69210003029937</v>
      </c>
      <c r="T12" s="3">
        <f t="shared" si="0"/>
        <v>-88.69210003029937</v>
      </c>
      <c r="V12" s="1">
        <v>290</v>
      </c>
      <c r="W12" s="3">
        <f>(32.5+20*LOG10($C$4/1000)+($C$6*10)*LOG10(290/3.28))</f>
        <v>93.48883596306597</v>
      </c>
      <c r="X12" s="3">
        <f t="shared" si="1"/>
        <v>-103.48883596306597</v>
      </c>
    </row>
    <row r="13" spans="1:24" s="1" customFormat="1" ht="20.25" customHeight="1">
      <c r="A13" s="7" t="s">
        <v>9</v>
      </c>
      <c r="B13" s="11">
        <f t="shared" si="2"/>
        <v>-81.59294004257596</v>
      </c>
      <c r="C13" s="6" t="s">
        <v>23</v>
      </c>
      <c r="D13" s="11">
        <f>T22</f>
        <v>-98.32505989154676</v>
      </c>
      <c r="E13" s="6" t="s">
        <v>39</v>
      </c>
      <c r="F13" s="14">
        <f t="shared" si="3"/>
        <v>-107.95801975279416</v>
      </c>
      <c r="R13" s="1" t="s">
        <v>14</v>
      </c>
      <c r="S13" s="3">
        <f>(32.5+20*LOG10($C$4/1000)+($C$6*10)*LOG10(110/3.28))</f>
        <v>80.01666595536257</v>
      </c>
      <c r="T13" s="3">
        <f t="shared" si="0"/>
        <v>-90.01666595536257</v>
      </c>
      <c r="V13" s="1">
        <v>300</v>
      </c>
      <c r="W13" s="3">
        <f>(32.5+20*LOG10($C$4/1000)+($C$6*10)*LOG10(300/3.28))</f>
        <v>93.95998018132856</v>
      </c>
      <c r="X13" s="3">
        <f t="shared" si="1"/>
        <v>-103.95998018132856</v>
      </c>
    </row>
    <row r="14" spans="1:24" s="1" customFormat="1" ht="20.25" customHeight="1">
      <c r="A14" s="7" t="s">
        <v>10</v>
      </c>
      <c r="B14" s="11">
        <f t="shared" si="2"/>
        <v>-83.73523731075558</v>
      </c>
      <c r="C14" s="6" t="s">
        <v>28</v>
      </c>
      <c r="D14" s="11">
        <f aca="true" t="shared" si="4" ref="D14:D22">X4</f>
        <v>-99.00311746178478</v>
      </c>
      <c r="E14" s="6" t="s">
        <v>41</v>
      </c>
      <c r="F14" s="14">
        <f t="shared" si="3"/>
        <v>-108.80054579190933</v>
      </c>
      <c r="R14" s="1" t="s">
        <v>15</v>
      </c>
      <c r="S14" s="3">
        <f>(32.5+20*LOG10($C$4/1000)+($C$6*10)*LOG10(120/3.28))</f>
        <v>81.22589990382336</v>
      </c>
      <c r="T14" s="3">
        <f t="shared" si="0"/>
        <v>-91.22589990382336</v>
      </c>
      <c r="V14" s="1">
        <v>325</v>
      </c>
      <c r="W14" s="3">
        <f>(32.5+20*LOG10($C$4/1000)+($C$6*10)*LOG10(325/3.28))</f>
        <v>95.07236758162334</v>
      </c>
      <c r="X14" s="3">
        <f t="shared" si="1"/>
        <v>-105.07236758162334</v>
      </c>
    </row>
    <row r="15" spans="1:24" ht="20.25" customHeight="1">
      <c r="A15" s="7" t="s">
        <v>11</v>
      </c>
      <c r="B15" s="11">
        <f t="shared" si="2"/>
        <v>-85.59097961404156</v>
      </c>
      <c r="C15" s="6" t="s">
        <v>29</v>
      </c>
      <c r="D15" s="11">
        <f t="shared" si="4"/>
        <v>-99.64962581660997</v>
      </c>
      <c r="E15" s="6" t="s">
        <v>43</v>
      </c>
      <c r="F15" s="14">
        <f t="shared" si="3"/>
        <v>-109.59490047111036</v>
      </c>
      <c r="R15" s="1" t="s">
        <v>16</v>
      </c>
      <c r="S15" s="3">
        <f>(32.5+20*LOG10($C$4/1000)+($C$6*10)*LOG10(130/3.28))</f>
        <v>82.33828730411814</v>
      </c>
      <c r="T15" s="3">
        <f t="shared" si="0"/>
        <v>-92.33828730411814</v>
      </c>
      <c r="V15" s="1">
        <v>350</v>
      </c>
      <c r="W15" s="3">
        <f>(32.5+20*LOG10($C$4/1000)+($C$6*10)*LOG10(350/3.28))</f>
        <v>96.10227744950818</v>
      </c>
      <c r="X15" s="3">
        <f t="shared" si="1"/>
        <v>-106.10227744950818</v>
      </c>
    </row>
    <row r="16" spans="1:24" ht="20.25" customHeight="1">
      <c r="A16" s="7" t="s">
        <v>12</v>
      </c>
      <c r="B16" s="11">
        <f t="shared" si="2"/>
        <v>-87.22786033235776</v>
      </c>
      <c r="C16" s="6" t="s">
        <v>30</v>
      </c>
      <c r="D16" s="11">
        <f t="shared" si="4"/>
        <v>-100.26739078286234</v>
      </c>
      <c r="E16" s="6" t="s">
        <v>44</v>
      </c>
      <c r="F16" s="14">
        <f t="shared" si="3"/>
        <v>-110.3462955382951</v>
      </c>
      <c r="R16" s="1" t="s">
        <v>17</v>
      </c>
      <c r="S16" s="3">
        <f>(32.5+20*LOG10($C$4/1000)+($C$6*10)*LOG10(140/3.28))</f>
        <v>83.36819717200298</v>
      </c>
      <c r="T16" s="3">
        <f t="shared" si="0"/>
        <v>-93.36819717200298</v>
      </c>
      <c r="V16" s="1">
        <v>375</v>
      </c>
      <c r="W16" s="3">
        <f>(32.5+20*LOG10($C$4/1000)+($C$6*10)*LOG10(375/3.28))</f>
        <v>97.06110059758636</v>
      </c>
      <c r="X16" s="3">
        <f t="shared" si="1"/>
        <v>-107.06110059758636</v>
      </c>
    </row>
    <row r="17" spans="1:24" ht="20.25" customHeight="1">
      <c r="A17" s="7" t="s">
        <v>13</v>
      </c>
      <c r="B17" s="11">
        <f t="shared" si="2"/>
        <v>-88.69210003029937</v>
      </c>
      <c r="C17" s="6" t="s">
        <v>31</v>
      </c>
      <c r="D17" s="11">
        <f t="shared" si="4"/>
        <v>-100.85885976507076</v>
      </c>
      <c r="E17" s="6" t="s">
        <v>45</v>
      </c>
      <c r="F17" s="14">
        <f t="shared" si="3"/>
        <v>-111.05914016905196</v>
      </c>
      <c r="R17" s="1" t="s">
        <v>18</v>
      </c>
      <c r="S17" s="3">
        <f>(32.5+20*LOG10($C$4/1000)+($C$6*10)*LOG10(150/3.28))</f>
        <v>84.32702032008116</v>
      </c>
      <c r="T17" s="3">
        <f t="shared" si="0"/>
        <v>-94.32702032008116</v>
      </c>
      <c r="V17" s="1">
        <v>400</v>
      </c>
      <c r="W17" s="3">
        <f>(32.5+20*LOG10($C$4/1000)+($C$6*10)*LOG10(400/3.28))</f>
        <v>97.95801975279416</v>
      </c>
      <c r="X17" s="3">
        <f t="shared" si="1"/>
        <v>-107.95801975279416</v>
      </c>
    </row>
    <row r="18" spans="1:24" ht="20.25" customHeight="1">
      <c r="A18" s="7" t="s">
        <v>14</v>
      </c>
      <c r="B18" s="11">
        <f t="shared" si="2"/>
        <v>-90.01666595536257</v>
      </c>
      <c r="C18" s="6" t="s">
        <v>32</v>
      </c>
      <c r="D18" s="11">
        <f t="shared" si="4"/>
        <v>-101.42618030780457</v>
      </c>
      <c r="E18" s="6" t="s">
        <v>46</v>
      </c>
      <c r="F18" s="14">
        <f t="shared" si="3"/>
        <v>-113.59294004257596</v>
      </c>
      <c r="R18" s="1" t="s">
        <v>19</v>
      </c>
      <c r="S18" s="3">
        <f>(32.5+20*LOG10($C$4/1000)+($C$6*10)*LOG10(160/3.28))</f>
        <v>85.22393947528896</v>
      </c>
      <c r="T18" s="3">
        <f t="shared" si="0"/>
        <v>-95.22393947528896</v>
      </c>
      <c r="V18" s="1">
        <v>425</v>
      </c>
      <c r="W18" s="3">
        <f>(32.5+20*LOG10($C$4/1000)+($C$6*10)*LOG10(425/3.28))</f>
        <v>98.80054579190933</v>
      </c>
      <c r="X18" s="3">
        <f t="shared" si="1"/>
        <v>-108.80054579190933</v>
      </c>
    </row>
    <row r="19" spans="1:24" ht="20.25" customHeight="1">
      <c r="A19" s="7" t="s">
        <v>15</v>
      </c>
      <c r="B19" s="11">
        <f t="shared" si="2"/>
        <v>-91.22589990382336</v>
      </c>
      <c r="C19" s="6" t="s">
        <v>33</v>
      </c>
      <c r="D19" s="11">
        <f t="shared" si="4"/>
        <v>-101.97124716536554</v>
      </c>
      <c r="E19" s="6" t="s">
        <v>47</v>
      </c>
      <c r="F19" s="14">
        <f>AB6</f>
        <v>-115.73523731075558</v>
      </c>
      <c r="R19" s="1" t="s">
        <v>20</v>
      </c>
      <c r="S19" s="3">
        <f>(32.5+20*LOG10($C$4/1000)+($C$6*10)*LOG10(170/3.28))</f>
        <v>86.06646551440413</v>
      </c>
      <c r="T19" s="3">
        <f t="shared" si="0"/>
        <v>-96.06646551440413</v>
      </c>
      <c r="V19" s="1">
        <v>450</v>
      </c>
      <c r="W19" s="3">
        <f>(32.5+20*LOG10($C$4/1000)+($C$6*10)*LOG10(450/3.28))</f>
        <v>99.59490047111036</v>
      </c>
      <c r="X19" s="3">
        <f t="shared" si="1"/>
        <v>-109.59490047111036</v>
      </c>
    </row>
    <row r="20" spans="1:24" ht="20.25" customHeight="1">
      <c r="A20" s="7" t="s">
        <v>16</v>
      </c>
      <c r="B20" s="11">
        <f t="shared" si="2"/>
        <v>-92.33828730411814</v>
      </c>
      <c r="C20" s="6" t="s">
        <v>34</v>
      </c>
      <c r="D20" s="11">
        <f t="shared" si="4"/>
        <v>-102.49574048338697</v>
      </c>
      <c r="E20" s="6" t="s">
        <v>48</v>
      </c>
      <c r="F20" s="14">
        <f>AB7</f>
        <v>-117.59097961404156</v>
      </c>
      <c r="R20" s="1" t="s">
        <v>21</v>
      </c>
      <c r="S20" s="3">
        <f>(32.5+20*LOG10($C$4/1000)+($C$6*10)*LOG10(180/3.28))</f>
        <v>86.86082019360516</v>
      </c>
      <c r="T20" s="3">
        <f t="shared" si="0"/>
        <v>-96.86082019360516</v>
      </c>
      <c r="V20" s="1">
        <v>475</v>
      </c>
      <c r="W20" s="3">
        <f>(32.5+20*LOG10($C$4/1000)+($C$6*10)*LOG10(475/3.28))</f>
        <v>100.3462955382951</v>
      </c>
      <c r="X20" s="3">
        <f t="shared" si="1"/>
        <v>-110.3462955382951</v>
      </c>
    </row>
    <row r="21" spans="1:24" ht="20.25" customHeight="1">
      <c r="A21" s="7" t="s">
        <v>17</v>
      </c>
      <c r="B21" s="11">
        <f t="shared" si="2"/>
        <v>-93.36819717200298</v>
      </c>
      <c r="C21" s="6" t="s">
        <v>35</v>
      </c>
      <c r="D21" s="11">
        <f t="shared" si="4"/>
        <v>-103.00115703325038</v>
      </c>
      <c r="E21" s="6" t="s">
        <v>49</v>
      </c>
      <c r="F21" s="14">
        <f>AB4</f>
        <v>-119.22786033235776</v>
      </c>
      <c r="R21" s="1" t="s">
        <v>22</v>
      </c>
      <c r="S21" s="3">
        <f>(32.5+20*LOG10($C$4/1000)+($C$6*10)*LOG10(190/3.28))</f>
        <v>87.6122152607899</v>
      </c>
      <c r="T21" s="3">
        <f t="shared" si="0"/>
        <v>-97.6122152607899</v>
      </c>
      <c r="V21" s="1">
        <v>500</v>
      </c>
      <c r="W21" s="3">
        <f>(32.5+20*LOG10($C$4/1000)+($C$6*10)*LOG10(500/3.28))</f>
        <v>101.05914016905196</v>
      </c>
      <c r="X21" s="3">
        <f t="shared" si="1"/>
        <v>-111.05914016905196</v>
      </c>
    </row>
    <row r="22" spans="1:24" ht="20.25" customHeight="1" thickBot="1">
      <c r="A22" s="8" t="s">
        <v>18</v>
      </c>
      <c r="B22" s="12">
        <f t="shared" si="2"/>
        <v>-94.32702032008116</v>
      </c>
      <c r="C22" s="9" t="s">
        <v>36</v>
      </c>
      <c r="D22" s="12">
        <f t="shared" si="4"/>
        <v>-103.48883596306597</v>
      </c>
      <c r="E22" s="9" t="s">
        <v>50</v>
      </c>
      <c r="F22" s="15">
        <f>AB5</f>
        <v>-120.69210003029936</v>
      </c>
      <c r="R22" s="1" t="s">
        <v>23</v>
      </c>
      <c r="S22" s="3">
        <f>(32.5+20*LOG10($C$4/1000)+($C$6*10)*LOG10(200/3.28))</f>
        <v>88.32505989154676</v>
      </c>
      <c r="T22" s="3">
        <f t="shared" si="0"/>
        <v>-98.32505989154676</v>
      </c>
      <c r="V22" s="1">
        <v>600</v>
      </c>
      <c r="W22" s="3">
        <f>(32.5+20*LOG10($C$4/1000)+($C$6*10)*LOG10(600/3.28))</f>
        <v>103.59294004257596</v>
      </c>
      <c r="X22" s="3">
        <f t="shared" si="1"/>
        <v>-113.59294004257596</v>
      </c>
    </row>
    <row r="23" spans="1:13" ht="15" customHeight="1" thickTop="1">
      <c r="A23" s="36" t="s">
        <v>55</v>
      </c>
      <c r="B23" s="16"/>
      <c r="C23" s="17"/>
      <c r="D23" s="16"/>
      <c r="E23" s="17"/>
      <c r="F23" s="18"/>
      <c r="G23" s="1"/>
      <c r="H23" s="3"/>
      <c r="I23" s="3"/>
      <c r="K23" s="1"/>
      <c r="L23" s="3"/>
      <c r="M23" s="3"/>
    </row>
    <row r="24" spans="1:6" ht="57" customHeight="1">
      <c r="A24" s="42" t="s">
        <v>56</v>
      </c>
      <c r="B24" s="38"/>
      <c r="C24" s="38"/>
      <c r="D24" s="38"/>
      <c r="E24" s="38"/>
      <c r="F24" s="39"/>
    </row>
    <row r="25" spans="1:6" ht="39" customHeight="1">
      <c r="A25" s="47" t="s">
        <v>58</v>
      </c>
      <c r="F25" s="46"/>
    </row>
    <row r="26" spans="1:6" ht="12.75" customHeight="1">
      <c r="A26" s="45"/>
      <c r="B26" s="37"/>
      <c r="C26" s="37"/>
      <c r="D26" s="37"/>
      <c r="E26" s="37"/>
      <c r="F26" s="21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Acrobat Document" dvAspect="DVASPECT_ICON" shapeId="121517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Potter</dc:creator>
  <cp:keywords/>
  <dc:description/>
  <cp:lastModifiedBy>George</cp:lastModifiedBy>
  <dcterms:created xsi:type="dcterms:W3CDTF">2012-04-06T16:33:21Z</dcterms:created>
  <dcterms:modified xsi:type="dcterms:W3CDTF">2017-08-12T06:45:41Z</dcterms:modified>
  <cp:category/>
  <cp:version/>
  <cp:contentType/>
  <cp:contentStatus/>
</cp:coreProperties>
</file>